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VAYSSIE\Documents\"/>
    </mc:Choice>
  </mc:AlternateContent>
  <xr:revisionPtr revIDLastSave="0" documentId="13_ncr:1_{1C8F15C3-9517-42C1-8AB6-6A39BF8713B0}" xr6:coauthVersionLast="45" xr6:coauthVersionMax="45" xr10:uidLastSave="{00000000-0000-0000-0000-000000000000}"/>
  <bookViews>
    <workbookView xWindow="-108" yWindow="-108" windowWidth="23256" windowHeight="12576" xr2:uid="{8837547B-9090-4F00-9C8F-CEF4502F51EF}"/>
  </bookViews>
  <sheets>
    <sheet name="Simulation de bulletin" sheetId="2" r:id="rId1"/>
    <sheet name="Reduction Fillon" sheetId="4" r:id="rId2"/>
  </sheets>
  <externalReferences>
    <externalReference r:id="rId3"/>
  </externalReferences>
  <calcPr calcId="18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2" l="1"/>
  <c r="D35" i="2"/>
  <c r="E36" i="2"/>
  <c r="C36" i="2"/>
  <c r="E17" i="2"/>
  <c r="F38" i="2"/>
  <c r="F39" i="2"/>
  <c r="D38" i="2"/>
  <c r="D39" i="2"/>
  <c r="E34" i="2"/>
  <c r="E33" i="2"/>
  <c r="E23" i="2"/>
  <c r="E27" i="2"/>
  <c r="E20" i="2"/>
  <c r="E19" i="2"/>
  <c r="F4" i="4"/>
  <c r="F5" i="4" s="1"/>
  <c r="G5" i="4"/>
  <c r="E5" i="4"/>
  <c r="D5" i="4"/>
  <c r="M4" i="4"/>
  <c r="J4" i="4" l="1"/>
  <c r="J5" i="4" s="1"/>
  <c r="D47" i="2" l="1"/>
  <c r="C34" i="2"/>
  <c r="E25" i="2"/>
  <c r="E9" i="2"/>
  <c r="E13" i="2" s="1"/>
  <c r="F36" i="2" l="1"/>
  <c r="D26" i="2" s="1"/>
  <c r="D36" i="2"/>
  <c r="F31" i="2"/>
  <c r="C4" i="4"/>
  <c r="F17" i="2"/>
  <c r="F22" i="2"/>
  <c r="D31" i="2"/>
  <c r="F34" i="2"/>
  <c r="F27" i="2"/>
  <c r="F29" i="2"/>
  <c r="D28" i="2"/>
  <c r="F30" i="2"/>
  <c r="F33" i="2"/>
  <c r="D23" i="2"/>
  <c r="F28" i="2"/>
  <c r="D30" i="2"/>
  <c r="F32" i="2"/>
  <c r="D34" i="2"/>
  <c r="F21" i="2"/>
  <c r="D32" i="2"/>
  <c r="D21" i="2"/>
  <c r="D29" i="2"/>
  <c r="F20" i="2"/>
  <c r="D25" i="2"/>
  <c r="D27" i="2"/>
  <c r="D20" i="2"/>
  <c r="D18" i="2"/>
  <c r="D17" i="2"/>
  <c r="F25" i="2"/>
  <c r="D22" i="2"/>
  <c r="D33" i="2"/>
  <c r="D48" i="2"/>
  <c r="D24" i="2"/>
  <c r="D19" i="2"/>
  <c r="F24" i="2"/>
  <c r="F26" i="2"/>
  <c r="F18" i="2"/>
  <c r="F23" i="2"/>
  <c r="F19" i="2"/>
  <c r="C5" i="4" l="1"/>
  <c r="P4" i="4"/>
  <c r="P5" i="4" s="1"/>
  <c r="I4" i="4"/>
  <c r="H4" i="4"/>
  <c r="H5" i="4" s="1"/>
  <c r="D40" i="2"/>
  <c r="D43" i="2"/>
  <c r="I5" i="4" l="1"/>
  <c r="K4" i="4"/>
  <c r="D44" i="2"/>
  <c r="D45" i="2" s="1"/>
  <c r="D46" i="2" s="1"/>
  <c r="K5" i="4" l="1"/>
  <c r="Q4" i="4"/>
  <c r="Q5" i="4" s="1"/>
  <c r="R5" i="4" s="1"/>
  <c r="S5" i="4" s="1"/>
  <c r="S4" i="4" s="1"/>
  <c r="F37" i="2" s="1"/>
  <c r="F40" i="2" s="1"/>
  <c r="D51" i="2" s="1"/>
  <c r="D4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JOCELYN</author>
  </authors>
  <commentList>
    <comment ref="D3" authorId="0" shapeId="0" xr:uid="{3EA98748-5246-4946-AD18-FF912AF80942}">
      <text>
        <r>
          <rPr>
            <sz val="9"/>
            <color indexed="81"/>
            <rFont val="Tahoma"/>
            <family val="2"/>
          </rPr>
          <t>Indiquez ici le montant total des primes forfaitaires et indemnités de fin de contrat
qui ne doivent pas jouer dans la proratisation du SMIC.
Ce sont les primes et indemnités dont le montant ne varie en cas d'absence maldie, AT...</t>
        </r>
      </text>
    </comment>
    <comment ref="E3" authorId="0" shapeId="0" xr:uid="{4A6CFDC5-7BF4-484C-B428-1A1C5E2EE1D8}">
      <text>
        <r>
          <rPr>
            <sz val="9"/>
            <color indexed="81"/>
            <rFont val="Tahoma"/>
            <family val="2"/>
          </rPr>
          <t>Total des retenues pour absence maladie, AT…
tenant compte de l'éventuel mainten de salaire, et des IJSS le cas échéant
A saisir en positif quand il s'agit d'une retenue
A ne saisir que pour les absences avec maintien de salaire partiel ou total.
Pour les absences sans maintien, le fait de saisir le nombre d'heures payées colonne F tenant compte de l'absence suffit.</t>
        </r>
      </text>
    </comment>
    <comment ref="G3" authorId="0" shapeId="0" xr:uid="{1286C447-B4DD-47C9-B267-0E14154F2CE3}">
      <text>
        <r>
          <rPr>
            <sz val="9"/>
            <color indexed="81"/>
            <rFont val="Tahoma"/>
            <family val="2"/>
          </rPr>
          <t>A ne saisir que pour les absences avec maintien de salaire partiel ou total ayant eu un impact colonne E.
Pour les absences sans maintien, le fait de saisir le nombre d'heures payées colonne F tenant compte de l'absence suffit.
Ne rien saisir dans cette colonne G si en colonne E le montant correspond uniquement à des IJSS.</t>
        </r>
      </text>
    </comment>
    <comment ref="H3" authorId="0" shapeId="0" xr:uid="{15FD9CA2-52B1-4EB4-85C7-9240DFDE0E1D}">
      <text>
        <r>
          <rPr>
            <sz val="9"/>
            <color indexed="81"/>
            <rFont val="Tahoma"/>
            <family val="2"/>
          </rPr>
          <t xml:space="preserve">Brut moins les primes "fixes"
Correspond au
cumul </t>
        </r>
        <r>
          <rPr>
            <b/>
            <sz val="9"/>
            <color indexed="81"/>
            <rFont val="Tahoma"/>
            <family val="2"/>
          </rPr>
          <t>RFBASE</t>
        </r>
        <r>
          <rPr>
            <sz val="9"/>
            <color indexed="81"/>
            <rFont val="Tahoma"/>
            <family val="2"/>
          </rPr>
          <t xml:space="preserve">
</t>
        </r>
      </text>
    </comment>
    <comment ref="I3" authorId="0" shapeId="0" xr:uid="{61195EBB-49C7-43B9-B92D-AD73AFFE00F2}">
      <text>
        <r>
          <rPr>
            <sz val="9"/>
            <color indexed="81"/>
            <rFont val="Tahoma"/>
            <family val="2"/>
          </rPr>
          <t xml:space="preserve">Brut moins les primes et moins les absences maladie et retenues IJSS
Correspond au
cumul </t>
        </r>
        <r>
          <rPr>
            <b/>
            <sz val="9"/>
            <color indexed="81"/>
            <rFont val="Tahoma"/>
            <family val="2"/>
          </rPr>
          <t>RFBASN</t>
        </r>
        <r>
          <rPr>
            <sz val="9"/>
            <color indexed="81"/>
            <rFont val="Tahoma"/>
            <family val="2"/>
          </rPr>
          <t xml:space="preserve">
</t>
        </r>
      </text>
    </comment>
    <comment ref="J3" authorId="0" shapeId="0" xr:uid="{0BA2BD47-CA12-456D-BE4F-6A68A92447FD}">
      <text>
        <r>
          <rPr>
            <sz val="9"/>
            <color indexed="81"/>
            <rFont val="Tahoma"/>
            <family val="2"/>
          </rPr>
          <t xml:space="preserve">
Correspond au
cumul </t>
        </r>
        <r>
          <rPr>
            <b/>
            <sz val="9"/>
            <color indexed="81"/>
            <rFont val="Tahoma"/>
            <family val="2"/>
          </rPr>
          <t>RFHORN</t>
        </r>
        <r>
          <rPr>
            <sz val="9"/>
            <color indexed="81"/>
            <rFont val="Tahoma"/>
            <family val="2"/>
          </rPr>
          <t xml:space="preserve">
</t>
        </r>
      </text>
    </comment>
    <comment ref="K3" authorId="0" shapeId="0" xr:uid="{7FAAB4D9-ECF0-4E9A-A90E-F1F939B4C229}">
      <text>
        <r>
          <rPr>
            <b/>
            <sz val="9"/>
            <color indexed="81"/>
            <rFont val="Tahoma"/>
            <family val="2"/>
          </rPr>
          <t xml:space="preserve">
</t>
        </r>
        <r>
          <rPr>
            <sz val="9"/>
            <color indexed="81"/>
            <rFont val="Tahoma"/>
            <family val="2"/>
          </rPr>
          <t xml:space="preserve">Correspond au
cumul </t>
        </r>
        <r>
          <rPr>
            <b/>
            <sz val="9"/>
            <color indexed="81"/>
            <rFont val="Tahoma"/>
            <family val="2"/>
          </rPr>
          <t>RFHORR</t>
        </r>
        <r>
          <rPr>
            <sz val="9"/>
            <color indexed="81"/>
            <rFont val="Tahoma"/>
            <family val="2"/>
          </rPr>
          <t xml:space="preserve">
</t>
        </r>
      </text>
    </comment>
    <comment ref="O3" authorId="0" shapeId="0" xr:uid="{8A18C720-9879-4553-A7E6-7137D21C6857}">
      <text>
        <r>
          <rPr>
            <sz val="9"/>
            <color indexed="81"/>
            <rFont val="Tahoma"/>
            <family val="2"/>
          </rPr>
          <t xml:space="preserve">
Indiquez le cas échéant le taux de déduction forfaitaire pour frais professionnels (par exemple, 10, 20 ou 30%)
</t>
        </r>
      </text>
    </comment>
    <comment ref="P3" authorId="0" shapeId="0" xr:uid="{7AF44016-6FD8-4DFF-ABF1-DD6198564909}">
      <text>
        <r>
          <rPr>
            <sz val="9"/>
            <color indexed="81"/>
            <rFont val="Tahoma"/>
            <family val="2"/>
          </rPr>
          <t xml:space="preserve">
Correspond au
cumul </t>
        </r>
        <r>
          <rPr>
            <b/>
            <sz val="9"/>
            <color indexed="81"/>
            <rFont val="Tahoma"/>
            <family val="2"/>
          </rPr>
          <t xml:space="preserve">RFBASA
</t>
        </r>
      </text>
    </comment>
    <comment ref="Q3" authorId="0" shapeId="0" xr:uid="{867713C4-80EA-406E-BC0D-98244719EE6A}">
      <text>
        <r>
          <rPr>
            <sz val="9"/>
            <color indexed="81"/>
            <rFont val="Tahoma"/>
            <family val="2"/>
          </rPr>
          <t xml:space="preserve">Correspond au cumul </t>
        </r>
        <r>
          <rPr>
            <b/>
            <sz val="9"/>
            <color indexed="81"/>
            <rFont val="Tahoma"/>
            <family val="2"/>
          </rPr>
          <t xml:space="preserve">MTSMIC
</t>
        </r>
        <r>
          <rPr>
            <sz val="9"/>
            <color indexed="81"/>
            <rFont val="Tahoma"/>
            <family val="2"/>
          </rPr>
          <t xml:space="preserve">(ou </t>
        </r>
        <r>
          <rPr>
            <b/>
            <sz val="9"/>
            <color indexed="81"/>
            <rFont val="Tahoma"/>
            <family val="2"/>
          </rPr>
          <t>MTSMIF</t>
        </r>
        <r>
          <rPr>
            <sz val="9"/>
            <color indexed="81"/>
            <rFont val="Tahoma"/>
            <family val="2"/>
          </rPr>
          <t xml:space="preserve"> si présent (Transport)</t>
        </r>
      </text>
    </comment>
  </commentList>
</comments>
</file>

<file path=xl/sharedStrings.xml><?xml version="1.0" encoding="utf-8"?>
<sst xmlns="http://schemas.openxmlformats.org/spreadsheetml/2006/main" count="84" uniqueCount="79">
  <si>
    <t>Net à payer</t>
  </si>
  <si>
    <t>Remboursement de frais</t>
  </si>
  <si>
    <t>Prélèvement à la source</t>
  </si>
  <si>
    <t>Net avant impôts</t>
  </si>
  <si>
    <t>Avantage en nature</t>
  </si>
  <si>
    <t>CSG</t>
  </si>
  <si>
    <t xml:space="preserve">Chômage </t>
  </si>
  <si>
    <t>salarial</t>
  </si>
  <si>
    <t>taux</t>
  </si>
  <si>
    <t>Patronal</t>
  </si>
  <si>
    <t>montant de cotisations</t>
  </si>
  <si>
    <t>Maladie</t>
  </si>
  <si>
    <t>Brut</t>
  </si>
  <si>
    <t>Nb heures</t>
  </si>
  <si>
    <t>Taux horaire</t>
  </si>
  <si>
    <t>Solidarité Autonomie</t>
  </si>
  <si>
    <t>Allocations Familiales</t>
  </si>
  <si>
    <t>Assurance vieillesse déplafonnée</t>
  </si>
  <si>
    <t>Fnal</t>
  </si>
  <si>
    <t>CDS</t>
  </si>
  <si>
    <t>Taux AT</t>
  </si>
  <si>
    <t>Assurance vieillesse plafonnée</t>
  </si>
  <si>
    <t>AGS</t>
  </si>
  <si>
    <t>Retraite T1</t>
  </si>
  <si>
    <t>CEG T1</t>
  </si>
  <si>
    <t>Retraite T2</t>
  </si>
  <si>
    <t>CEG 2</t>
  </si>
  <si>
    <t>CET</t>
  </si>
  <si>
    <t>Assurance décès obligatoire</t>
  </si>
  <si>
    <t>Net après impôts</t>
  </si>
  <si>
    <t>Total cotisations</t>
  </si>
  <si>
    <t>Mois</t>
  </si>
  <si>
    <t>Brut mensuel</t>
  </si>
  <si>
    <t>dont Primes "fixes"</t>
  </si>
  <si>
    <t>Absences et retenues IJSS</t>
  </si>
  <si>
    <t>Heures payées</t>
  </si>
  <si>
    <t>Heures absences</t>
  </si>
  <si>
    <t>Base hors primes</t>
  </si>
  <si>
    <t>Base "normale"</t>
  </si>
  <si>
    <t>Heures "normales"</t>
  </si>
  <si>
    <t>Heures SMIC reconstituées</t>
  </si>
  <si>
    <t>Coeff de base</t>
  </si>
  <si>
    <t>Limite</t>
  </si>
  <si>
    <t>Taux SMIC</t>
  </si>
  <si>
    <t>Taux déduc. Forfaitaire</t>
  </si>
  <si>
    <t>Brut abattu (RMB)</t>
  </si>
  <si>
    <t>Montant SMIC</t>
  </si>
  <si>
    <t>Coeff calculé</t>
  </si>
  <si>
    <t>Réduction calculée</t>
  </si>
  <si>
    <t>Janvier</t>
  </si>
  <si>
    <t>Cumul</t>
  </si>
  <si>
    <t>Réduction Fillon</t>
  </si>
  <si>
    <t>Taux</t>
  </si>
  <si>
    <t>Montant de cotisations</t>
  </si>
  <si>
    <t>Libellé</t>
  </si>
  <si>
    <t>Base imposable</t>
  </si>
  <si>
    <t>Apec</t>
  </si>
  <si>
    <t>Cout total employeur</t>
  </si>
  <si>
    <t>Total brut</t>
  </si>
  <si>
    <t>PASS</t>
  </si>
  <si>
    <t>Taux PAS</t>
  </si>
  <si>
    <t>S'agit-il d'un dirigeant?</t>
  </si>
  <si>
    <t>Nb de salariés dans l'entreprise</t>
  </si>
  <si>
    <t>Statut du salarié?</t>
  </si>
  <si>
    <t>OUI</t>
  </si>
  <si>
    <t>NON</t>
  </si>
  <si>
    <t>CADRE</t>
  </si>
  <si>
    <t>NON CADRE</t>
  </si>
  <si>
    <t>Prime Brut</t>
  </si>
  <si>
    <t>Divers Brut</t>
  </si>
  <si>
    <t>Taxe apprentissage</t>
  </si>
  <si>
    <t>Formation</t>
  </si>
  <si>
    <t>Simulation de bulletin de salaire 2020</t>
  </si>
  <si>
    <t>Mutuelle</t>
  </si>
  <si>
    <t>Montant de la mutuelle</t>
  </si>
  <si>
    <t>Taux de répartition mutuelle (salarié)</t>
  </si>
  <si>
    <t>Prévoyance</t>
  </si>
  <si>
    <t>Taux de prévoyance</t>
  </si>
  <si>
    <t>Taux de répartition prévoyance (salarié)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</si>
</sst>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mm/yyyy"/>
    <numFmt numFmtId="165" formatCode="#,##0.00;\-#,##0.00;"/>
    <numFmt numFmtId="166" formatCode="0;\-0;"/>
    <numFmt numFmtId="167" formatCode="0.0000"/>
    <numFmt numFmtId="168" formatCode="0.00;\-0.00;"/>
  </numFmts>
  <fonts count="16" x14ac:knownFonts="1">
    <font>
      <sz val="11"/>
      <color theme="1"/>
      <name val="Calibri"/>
      <family val="2"/>
      <scheme val="minor"/>
    </font>
    <font>
      <b/>
      <sz val="11"/>
      <color theme="1"/>
      <name val="Calibri"/>
      <family val="2"/>
      <scheme val="minor"/>
    </font>
    <font>
      <b/>
      <i/>
      <sz val="9"/>
      <name val="Calibri"/>
      <family val="2"/>
      <scheme val="minor"/>
    </font>
    <font>
      <b/>
      <i/>
      <sz val="8"/>
      <name val="Calibri"/>
      <family val="2"/>
      <scheme val="minor"/>
    </font>
    <font>
      <b/>
      <sz val="8"/>
      <color rgb="FF0000FF"/>
      <name val="Arial"/>
      <family val="2"/>
    </font>
    <font>
      <sz val="8"/>
      <name val="Arial"/>
      <family val="2"/>
    </font>
    <font>
      <sz val="10"/>
      <color indexed="12"/>
      <name val="Arial"/>
      <family val="2"/>
    </font>
    <font>
      <sz val="10"/>
      <name val="Arial"/>
      <family val="2"/>
    </font>
    <font>
      <b/>
      <sz val="10"/>
      <color indexed="12"/>
      <name val="Arial"/>
      <family val="2"/>
    </font>
    <font>
      <i/>
      <sz val="10"/>
      <name val="Arial"/>
      <family val="2"/>
    </font>
    <font>
      <b/>
      <sz val="10"/>
      <color rgb="FFFF33CC"/>
      <name val="Arial"/>
      <family val="2"/>
    </font>
    <font>
      <i/>
      <sz val="10"/>
      <color theme="0" tint="-0.499984740745262"/>
      <name val="Arial"/>
      <family val="2"/>
    </font>
    <font>
      <sz val="9"/>
      <color indexed="81"/>
      <name val="Tahoma"/>
      <family val="2"/>
    </font>
    <font>
      <b/>
      <sz val="9"/>
      <color indexed="81"/>
      <name val="Tahoma"/>
      <family val="2"/>
    </font>
    <font>
      <b/>
      <sz val="20"/>
      <color theme="1"/>
      <name val="Calibri"/>
      <family val="2"/>
      <scheme val="minor"/>
    </font>
    <font>
      <sz val="11"/>
      <name val="Calibri"/>
      <family val="2"/>
      <scheme val="minor"/>
    </font>
  </fonts>
  <fills count="8">
    <fill>
      <patternFill patternType="none"/>
    </fill>
    <fill>
      <patternFill patternType="gray125"/>
    </fill>
    <fill>
      <patternFill patternType="solid">
        <fgColor indexed="31"/>
        <bgColor indexed="64"/>
      </patternFill>
    </fill>
    <fill>
      <patternFill patternType="solid">
        <fgColor rgb="FFCCCC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0.24997711111789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3">
    <xf numFmtId="0" fontId="0" fillId="0" borderId="0" xfId="0"/>
    <xf numFmtId="0" fontId="0" fillId="0" borderId="2" xfId="0" applyBorder="1"/>
    <xf numFmtId="0" fontId="0" fillId="0" borderId="3" xfId="0" applyBorder="1"/>
    <xf numFmtId="0" fontId="0" fillId="0" borderId="4" xfId="0" applyBorder="1"/>
    <xf numFmtId="10" fontId="0" fillId="0" borderId="3" xfId="0" applyNumberFormat="1" applyBorder="1"/>
    <xf numFmtId="10" fontId="0" fillId="0" borderId="4" xfId="0" applyNumberFormat="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wrapText="1"/>
    </xf>
    <xf numFmtId="0" fontId="3" fillId="0" borderId="6" xfId="0" applyFont="1" applyBorder="1" applyAlignment="1">
      <alignment horizontal="center" vertical="center" wrapText="1"/>
    </xf>
    <xf numFmtId="0" fontId="2" fillId="0" borderId="6" xfId="0" quotePrefix="1" applyFont="1" applyBorder="1" applyAlignment="1">
      <alignment horizontal="center" vertical="center" wrapText="1"/>
    </xf>
    <xf numFmtId="0" fontId="2" fillId="0" borderId="7" xfId="0" applyFont="1" applyBorder="1" applyAlignment="1">
      <alignment horizontal="center" vertical="center" wrapText="1"/>
    </xf>
    <xf numFmtId="164" fontId="4" fillId="0" borderId="8" xfId="0" applyNumberFormat="1" applyFont="1" applyBorder="1" applyAlignment="1" applyProtection="1">
      <alignment horizontal="center" vertical="center"/>
      <protection locked="0"/>
    </xf>
    <xf numFmtId="0" fontId="5" fillId="0" borderId="0" xfId="0" applyFont="1" applyAlignment="1">
      <alignment vertical="center"/>
    </xf>
    <xf numFmtId="165" fontId="6" fillId="2" borderId="0" xfId="0" applyNumberFormat="1" applyFont="1" applyFill="1" applyAlignment="1" applyProtection="1">
      <alignment vertical="center"/>
      <protection locked="0"/>
    </xf>
    <xf numFmtId="165" fontId="7" fillId="0" borderId="0" xfId="0" applyNumberFormat="1" applyFont="1" applyAlignment="1">
      <alignment vertical="center"/>
    </xf>
    <xf numFmtId="0" fontId="8" fillId="3" borderId="0" xfId="0" applyFont="1" applyFill="1" applyAlignment="1" applyProtection="1">
      <alignment horizontal="center" vertical="center"/>
      <protection locked="0"/>
    </xf>
    <xf numFmtId="0" fontId="0" fillId="0" borderId="0" xfId="0" applyAlignment="1">
      <alignment horizontal="center" vertical="center"/>
    </xf>
    <xf numFmtId="44" fontId="8" fillId="3" borderId="0" xfId="0" applyNumberFormat="1" applyFont="1" applyFill="1" applyAlignment="1" applyProtection="1">
      <alignment horizontal="center" vertical="center"/>
      <protection locked="0"/>
    </xf>
    <xf numFmtId="166" fontId="8" fillId="3" borderId="0" xfId="0" applyNumberFormat="1" applyFont="1" applyFill="1" applyAlignment="1" applyProtection="1">
      <alignment horizontal="center" vertical="center"/>
      <protection locked="0"/>
    </xf>
    <xf numFmtId="165" fontId="7" fillId="0" borderId="0" xfId="0" applyNumberFormat="1" applyFont="1" applyAlignment="1">
      <alignment horizontal="right" vertical="center"/>
    </xf>
    <xf numFmtId="167" fontId="9" fillId="0" borderId="0" xfId="0" applyNumberFormat="1" applyFont="1" applyAlignment="1">
      <alignment vertical="center"/>
    </xf>
    <xf numFmtId="168" fontId="10" fillId="0" borderId="9" xfId="0" applyNumberFormat="1" applyFont="1" applyBorder="1" applyAlignment="1">
      <alignment vertical="center"/>
    </xf>
    <xf numFmtId="164" fontId="4" fillId="0" borderId="5" xfId="0" applyNumberFormat="1" applyFont="1" applyBorder="1" applyAlignment="1" applyProtection="1">
      <alignment horizontal="center" vertical="center"/>
      <protection locked="0"/>
    </xf>
    <xf numFmtId="0" fontId="5" fillId="0" borderId="6" xfId="0" applyFont="1" applyBorder="1" applyAlignment="1">
      <alignment vertical="center"/>
    </xf>
    <xf numFmtId="165" fontId="11" fillId="0" borderId="6" xfId="0" applyNumberFormat="1" applyFont="1" applyBorder="1" applyAlignment="1">
      <alignment vertical="center"/>
    </xf>
    <xf numFmtId="0" fontId="8" fillId="3" borderId="6" xfId="0" applyFont="1" applyFill="1" applyBorder="1" applyAlignment="1" applyProtection="1">
      <alignment horizontal="center" vertical="center"/>
      <protection locked="0"/>
    </xf>
    <xf numFmtId="0" fontId="0" fillId="0" borderId="6" xfId="0" applyBorder="1" applyAlignment="1">
      <alignment horizontal="center" vertical="center"/>
    </xf>
    <xf numFmtId="166" fontId="8" fillId="3" borderId="6" xfId="0" applyNumberFormat="1" applyFont="1" applyFill="1" applyBorder="1" applyAlignment="1" applyProtection="1">
      <alignment horizontal="center" vertical="center"/>
      <protection locked="0"/>
    </xf>
    <xf numFmtId="165" fontId="11" fillId="0" borderId="6" xfId="0" applyNumberFormat="1" applyFont="1" applyBorder="1" applyAlignment="1">
      <alignment horizontal="right" vertical="center"/>
    </xf>
    <xf numFmtId="167" fontId="7" fillId="0" borderId="6" xfId="0" applyNumberFormat="1" applyFont="1" applyBorder="1" applyAlignment="1">
      <alignment vertical="center"/>
    </xf>
    <xf numFmtId="168" fontId="11" fillId="0" borderId="7" xfId="0" applyNumberFormat="1" applyFont="1" applyBorder="1" applyAlignment="1">
      <alignment vertical="center"/>
    </xf>
    <xf numFmtId="0" fontId="0" fillId="0" borderId="0" xfId="0" applyBorder="1"/>
    <xf numFmtId="10" fontId="0" fillId="0" borderId="0" xfId="0" applyNumberFormat="1" applyBorder="1"/>
    <xf numFmtId="2" fontId="0" fillId="0" borderId="0" xfId="0" applyNumberFormat="1" applyBorder="1"/>
    <xf numFmtId="0" fontId="0" fillId="0" borderId="8" xfId="0" applyBorder="1"/>
    <xf numFmtId="0" fontId="0" fillId="0" borderId="10" xfId="0" applyBorder="1"/>
    <xf numFmtId="2" fontId="0" fillId="0" borderId="10" xfId="0" applyNumberFormat="1" applyBorder="1"/>
    <xf numFmtId="2" fontId="0" fillId="0" borderId="11" xfId="0" applyNumberFormat="1" applyBorder="1"/>
    <xf numFmtId="0" fontId="0" fillId="0" borderId="12" xfId="0" applyBorder="1"/>
    <xf numFmtId="2" fontId="0" fillId="0" borderId="9" xfId="0" applyNumberFormat="1" applyBorder="1"/>
    <xf numFmtId="0" fontId="0" fillId="0" borderId="5" xfId="0" applyBorder="1"/>
    <xf numFmtId="10" fontId="0" fillId="0" borderId="2" xfId="0" applyNumberFormat="1" applyBorder="1"/>
    <xf numFmtId="0" fontId="0" fillId="0" borderId="14" xfId="0" applyBorder="1"/>
    <xf numFmtId="0" fontId="1" fillId="0" borderId="5" xfId="0" applyFont="1" applyBorder="1"/>
    <xf numFmtId="2" fontId="1" fillId="0" borderId="6" xfId="0" applyNumberFormat="1" applyFont="1" applyBorder="1"/>
    <xf numFmtId="2" fontId="1" fillId="0" borderId="7" xfId="0" applyNumberFormat="1" applyFont="1" applyBorder="1"/>
    <xf numFmtId="0" fontId="0" fillId="0" borderId="12" xfId="0" applyBorder="1" applyAlignment="1">
      <alignment horizontal="left"/>
    </xf>
    <xf numFmtId="0" fontId="0" fillId="0" borderId="9" xfId="0" applyBorder="1" applyAlignment="1">
      <alignment horizontal="left"/>
    </xf>
    <xf numFmtId="0" fontId="1" fillId="0" borderId="5"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11" xfId="0" applyFont="1" applyBorder="1" applyAlignment="1">
      <alignment horizontal="left"/>
    </xf>
    <xf numFmtId="0" fontId="0" fillId="4" borderId="11" xfId="0" applyFill="1" applyBorder="1"/>
    <xf numFmtId="0" fontId="0" fillId="4" borderId="9" xfId="0" applyFill="1" applyBorder="1"/>
    <xf numFmtId="0" fontId="0" fillId="0" borderId="9" xfId="0" applyBorder="1"/>
    <xf numFmtId="0" fontId="0" fillId="0" borderId="11" xfId="0" applyBorder="1"/>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13" xfId="0" applyFill="1" applyBorder="1" applyAlignment="1">
      <alignment horizontal="center"/>
    </xf>
    <xf numFmtId="0" fontId="0" fillId="5" borderId="14" xfId="0" applyFill="1" applyBorder="1"/>
    <xf numFmtId="2" fontId="1" fillId="6" borderId="11" xfId="0" applyNumberFormat="1" applyFont="1" applyFill="1" applyBorder="1"/>
    <xf numFmtId="2" fontId="1" fillId="6" borderId="7" xfId="0" applyNumberFormat="1" applyFont="1" applyFill="1" applyBorder="1"/>
    <xf numFmtId="10" fontId="0" fillId="0" borderId="15" xfId="0" applyNumberFormat="1" applyBorder="1"/>
    <xf numFmtId="2" fontId="1" fillId="0" borderId="0" xfId="0" applyNumberFormat="1" applyFont="1" applyBorder="1"/>
    <xf numFmtId="2" fontId="1" fillId="6" borderId="1" xfId="0" applyNumberFormat="1" applyFont="1" applyFill="1" applyBorder="1"/>
    <xf numFmtId="0" fontId="0" fillId="0" borderId="15" xfId="0" applyBorder="1"/>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0" borderId="0" xfId="0" applyFont="1"/>
    <xf numFmtId="0" fontId="1" fillId="0" borderId="13" xfId="0" applyFont="1" applyBorder="1"/>
    <xf numFmtId="0" fontId="1" fillId="5" borderId="8" xfId="0" applyFont="1" applyFill="1" applyBorder="1" applyAlignment="1">
      <alignment horizontal="center"/>
    </xf>
    <xf numFmtId="10" fontId="0" fillId="4" borderId="9" xfId="0" applyNumberFormat="1" applyFill="1" applyBorder="1"/>
    <xf numFmtId="0" fontId="0" fillId="0" borderId="2" xfId="0" applyFill="1" applyBorder="1"/>
    <xf numFmtId="0" fontId="0" fillId="4" borderId="3" xfId="0" applyFill="1" applyBorder="1"/>
    <xf numFmtId="0" fontId="0" fillId="4" borderId="3" xfId="0" applyFill="1" applyBorder="1" applyAlignment="1">
      <alignment horizontal="right"/>
    </xf>
    <xf numFmtId="0" fontId="1" fillId="6" borderId="14" xfId="0" applyFont="1" applyFill="1" applyBorder="1"/>
    <xf numFmtId="10" fontId="0" fillId="7" borderId="3" xfId="0" applyNumberFormat="1" applyFill="1" applyBorder="1"/>
    <xf numFmtId="2" fontId="0" fillId="7" borderId="0" xfId="0" applyNumberFormat="1" applyFill="1" applyBorder="1"/>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5" fillId="0" borderId="0" xfId="0" applyFont="1"/>
    <xf numFmtId="0" fontId="0" fillId="4" borderId="1" xfId="0" applyFill="1" applyBorder="1" applyAlignment="1">
      <alignment horizontal="right"/>
    </xf>
    <xf numFmtId="10" fontId="0" fillId="4" borderId="1" xfId="0" applyNumberFormat="1" applyFill="1" applyBorder="1"/>
    <xf numFmtId="9" fontId="0" fillId="4" borderId="1" xfId="0" applyNumberFormat="1" applyFill="1" applyBorder="1"/>
    <xf numFmtId="2" fontId="0" fillId="4" borderId="9"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YSSIE/Downloads/reduction%20fil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CALCUL"/>
    </sheetNames>
    <sheetDataSet>
      <sheetData sheetId="0">
        <row r="3">
          <cell r="R3">
            <v>1.6</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6DF9A-1065-4ADC-AF0B-597B8D56B899}">
  <dimension ref="B1:I55"/>
  <sheetViews>
    <sheetView showGridLines="0" tabSelected="1" topLeftCell="A17" workbookViewId="0">
      <selection activeCell="F49" sqref="F49"/>
    </sheetView>
  </sheetViews>
  <sheetFormatPr baseColWidth="10" defaultRowHeight="14.4" x14ac:dyDescent="0.3"/>
  <cols>
    <col min="2" max="2" width="27.88671875" bestFit="1" customWidth="1"/>
    <col min="4" max="4" width="20" bestFit="1" customWidth="1"/>
    <col min="6" max="6" width="19.88671875" bestFit="1" customWidth="1"/>
    <col min="8" max="8" width="33.6640625" bestFit="1" customWidth="1"/>
  </cols>
  <sheetData>
    <row r="1" spans="2:9" x14ac:dyDescent="0.3">
      <c r="B1" s="79" t="s">
        <v>72</v>
      </c>
      <c r="C1" s="80"/>
      <c r="D1" s="80"/>
      <c r="E1" s="80"/>
      <c r="F1" s="80"/>
      <c r="G1" s="80"/>
      <c r="H1" s="80"/>
      <c r="I1" s="81"/>
    </row>
    <row r="2" spans="2:9" x14ac:dyDescent="0.3">
      <c r="B2" s="82"/>
      <c r="C2" s="83"/>
      <c r="D2" s="83"/>
      <c r="E2" s="83"/>
      <c r="F2" s="83"/>
      <c r="G2" s="83"/>
      <c r="H2" s="83"/>
      <c r="I2" s="84"/>
    </row>
    <row r="3" spans="2:9" x14ac:dyDescent="0.3">
      <c r="B3" s="82"/>
      <c r="C3" s="83"/>
      <c r="D3" s="83"/>
      <c r="E3" s="83"/>
      <c r="F3" s="83"/>
      <c r="G3" s="83"/>
      <c r="H3" s="83"/>
      <c r="I3" s="84"/>
    </row>
    <row r="4" spans="2:9" ht="15" thickBot="1" x14ac:dyDescent="0.35">
      <c r="B4" s="85"/>
      <c r="C4" s="86"/>
      <c r="D4" s="86"/>
      <c r="E4" s="86"/>
      <c r="F4" s="86"/>
      <c r="G4" s="86"/>
      <c r="H4" s="86"/>
      <c r="I4" s="87"/>
    </row>
    <row r="6" spans="2:9" ht="15" thickBot="1" x14ac:dyDescent="0.35"/>
    <row r="7" spans="2:9" ht="15" thickBot="1" x14ac:dyDescent="0.35">
      <c r="B7" s="35" t="s">
        <v>13</v>
      </c>
      <c r="C7" s="36"/>
      <c r="D7" s="56"/>
      <c r="E7" s="53"/>
      <c r="H7" s="35" t="s">
        <v>59</v>
      </c>
      <c r="I7" s="73">
        <v>41136</v>
      </c>
    </row>
    <row r="8" spans="2:9" ht="15" thickBot="1" x14ac:dyDescent="0.35">
      <c r="B8" s="39" t="s">
        <v>14</v>
      </c>
      <c r="C8" s="32"/>
      <c r="D8" s="55"/>
      <c r="E8" s="54"/>
      <c r="H8" s="39" t="s">
        <v>61</v>
      </c>
      <c r="I8" s="89" t="s">
        <v>65</v>
      </c>
    </row>
    <row r="9" spans="2:9" ht="15" thickBot="1" x14ac:dyDescent="0.35">
      <c r="B9" s="39" t="s">
        <v>12</v>
      </c>
      <c r="C9" s="32"/>
      <c r="D9" s="55"/>
      <c r="E9" s="55">
        <f>+E7*E8</f>
        <v>0</v>
      </c>
      <c r="H9" s="39" t="s">
        <v>62</v>
      </c>
      <c r="I9" s="74">
        <v>1</v>
      </c>
    </row>
    <row r="10" spans="2:9" ht="15" thickBot="1" x14ac:dyDescent="0.35">
      <c r="B10" s="39" t="s">
        <v>4</v>
      </c>
      <c r="C10" s="32"/>
      <c r="D10" s="55"/>
      <c r="E10" s="54"/>
      <c r="H10" s="39" t="s">
        <v>20</v>
      </c>
      <c r="I10" s="90"/>
    </row>
    <row r="11" spans="2:9" ht="15" thickBot="1" x14ac:dyDescent="0.35">
      <c r="B11" s="39" t="s">
        <v>68</v>
      </c>
      <c r="C11" s="32"/>
      <c r="D11" s="55"/>
      <c r="E11" s="54"/>
      <c r="H11" s="39" t="s">
        <v>63</v>
      </c>
      <c r="I11" s="75" t="s">
        <v>67</v>
      </c>
    </row>
    <row r="12" spans="2:9" ht="15" thickBot="1" x14ac:dyDescent="0.35">
      <c r="B12" s="39" t="s">
        <v>69</v>
      </c>
      <c r="C12" s="32"/>
      <c r="D12" s="55"/>
      <c r="E12" s="54"/>
      <c r="H12" s="41" t="s">
        <v>60</v>
      </c>
      <c r="I12" s="90"/>
    </row>
    <row r="13" spans="2:9" ht="15" thickBot="1" x14ac:dyDescent="0.35">
      <c r="B13" s="70" t="s">
        <v>58</v>
      </c>
      <c r="C13" s="66"/>
      <c r="D13" s="43"/>
      <c r="E13" s="76">
        <f>+E9+E10+E11+E12</f>
        <v>0</v>
      </c>
    </row>
    <row r="14" spans="2:9" ht="15" thickBot="1" x14ac:dyDescent="0.35">
      <c r="B14" s="69"/>
      <c r="H14" s="1" t="s">
        <v>74</v>
      </c>
      <c r="I14" s="53"/>
    </row>
    <row r="15" spans="2:9" ht="15" thickBot="1" x14ac:dyDescent="0.35">
      <c r="B15" s="57" t="s">
        <v>54</v>
      </c>
      <c r="C15" s="71" t="s">
        <v>7</v>
      </c>
      <c r="D15" s="68"/>
      <c r="E15" s="67" t="s">
        <v>9</v>
      </c>
      <c r="F15" s="68"/>
      <c r="H15" s="2" t="s">
        <v>75</v>
      </c>
      <c r="I15" s="91">
        <v>0.5</v>
      </c>
    </row>
    <row r="16" spans="2:9" ht="15" thickBot="1" x14ac:dyDescent="0.35">
      <c r="B16" s="58"/>
      <c r="C16" s="59" t="s">
        <v>52</v>
      </c>
      <c r="D16" s="60" t="s">
        <v>53</v>
      </c>
      <c r="E16" s="59" t="s">
        <v>8</v>
      </c>
      <c r="F16" s="60" t="s">
        <v>10</v>
      </c>
      <c r="H16" s="2" t="s">
        <v>77</v>
      </c>
      <c r="I16" s="72"/>
    </row>
    <row r="17" spans="2:9" ht="15" thickBot="1" x14ac:dyDescent="0.35">
      <c r="B17" s="35" t="s">
        <v>11</v>
      </c>
      <c r="C17" s="42">
        <v>0</v>
      </c>
      <c r="D17" s="37">
        <f>+$E$13*C17</f>
        <v>0</v>
      </c>
      <c r="E17" s="42">
        <f>+IF(OR(E8&gt;=10.15*2.5,I8="OUI"),0.13,0.07)</f>
        <v>7.0000000000000007E-2</v>
      </c>
      <c r="F17" s="38">
        <f>+$E$13*E17</f>
        <v>0</v>
      </c>
      <c r="H17" s="3" t="s">
        <v>78</v>
      </c>
      <c r="I17" s="91">
        <v>0.5</v>
      </c>
    </row>
    <row r="18" spans="2:9" x14ac:dyDescent="0.3">
      <c r="B18" s="39" t="s">
        <v>15</v>
      </c>
      <c r="C18" s="4">
        <v>0</v>
      </c>
      <c r="D18" s="34">
        <f>+$E$13*C18</f>
        <v>0</v>
      </c>
      <c r="E18" s="4">
        <v>3.0000000000000001E-3</v>
      </c>
      <c r="F18" s="40">
        <f>+$E$13*E18</f>
        <v>0</v>
      </c>
    </row>
    <row r="19" spans="2:9" x14ac:dyDescent="0.3">
      <c r="B19" s="39" t="s">
        <v>16</v>
      </c>
      <c r="C19" s="4">
        <v>0</v>
      </c>
      <c r="D19" s="34">
        <f>+$E$13*C19</f>
        <v>0</v>
      </c>
      <c r="E19" s="4">
        <f>+IF(OR(E8&gt;10.15*2.5,I8="OUI"),0.0525,0.0345)</f>
        <v>3.4500000000000003E-2</v>
      </c>
      <c r="F19" s="40">
        <f>+$E$13*E19</f>
        <v>0</v>
      </c>
    </row>
    <row r="20" spans="2:9" x14ac:dyDescent="0.3">
      <c r="B20" s="39" t="s">
        <v>6</v>
      </c>
      <c r="C20" s="4">
        <v>0</v>
      </c>
      <c r="D20" s="34">
        <f>+$E$13*C20</f>
        <v>0</v>
      </c>
      <c r="E20" s="4">
        <f>+IF(I8="NON",0.0405,0)</f>
        <v>4.0500000000000001E-2</v>
      </c>
      <c r="F20" s="40">
        <f>+IF(E13&gt;4*I7/12,I7/12*4*E20,E13*E20)</f>
        <v>0</v>
      </c>
    </row>
    <row r="21" spans="2:9" x14ac:dyDescent="0.3">
      <c r="B21" s="39" t="s">
        <v>21</v>
      </c>
      <c r="C21" s="4">
        <v>6.9000000000000006E-2</v>
      </c>
      <c r="D21" s="34">
        <f>+IF(E13&gt;I7/12,I7/12*C21,$E$13*C21)</f>
        <v>0</v>
      </c>
      <c r="E21" s="4">
        <v>8.5500000000000007E-2</v>
      </c>
      <c r="F21" s="40">
        <f>+$E$13*E21</f>
        <v>0</v>
      </c>
    </row>
    <row r="22" spans="2:9" x14ac:dyDescent="0.3">
      <c r="B22" s="39" t="s">
        <v>17</v>
      </c>
      <c r="C22" s="4">
        <v>4.0000000000000001E-3</v>
      </c>
      <c r="D22" s="34">
        <f>+$E$13*C22</f>
        <v>0</v>
      </c>
      <c r="E22" s="4">
        <v>2.3E-2</v>
      </c>
      <c r="F22" s="40">
        <f>+$E$13*E22</f>
        <v>0</v>
      </c>
    </row>
    <row r="23" spans="2:9" x14ac:dyDescent="0.3">
      <c r="B23" s="39" t="s">
        <v>18</v>
      </c>
      <c r="C23" s="4">
        <v>0</v>
      </c>
      <c r="D23" s="34">
        <f>+$E$13*C23</f>
        <v>0</v>
      </c>
      <c r="E23" s="4">
        <f>+IF(I9&gt;49,0.005,0.001)</f>
        <v>1E-3</v>
      </c>
      <c r="F23" s="40">
        <f>+$E$13*E23</f>
        <v>0</v>
      </c>
    </row>
    <row r="24" spans="2:9" x14ac:dyDescent="0.3">
      <c r="B24" s="39" t="s">
        <v>19</v>
      </c>
      <c r="C24" s="4">
        <v>0</v>
      </c>
      <c r="D24" s="34">
        <f>+$E$13*C24</f>
        <v>0</v>
      </c>
      <c r="E24" s="4">
        <v>1.6000000000000001E-3</v>
      </c>
      <c r="F24" s="40">
        <f>+$E$13*E24</f>
        <v>0</v>
      </c>
    </row>
    <row r="25" spans="2:9" x14ac:dyDescent="0.3">
      <c r="B25" s="39" t="s">
        <v>20</v>
      </c>
      <c r="C25" s="4">
        <v>0</v>
      </c>
      <c r="D25" s="34">
        <f>+$E$13*C25</f>
        <v>0</v>
      </c>
      <c r="E25" s="4">
        <f>+IF(I10=0,0.009,I10)</f>
        <v>8.9999999999999993E-3</v>
      </c>
      <c r="F25" s="40">
        <f>+$E$13*E25</f>
        <v>0</v>
      </c>
    </row>
    <row r="26" spans="2:9" x14ac:dyDescent="0.3">
      <c r="B26" s="39" t="s">
        <v>5</v>
      </c>
      <c r="C26" s="4">
        <v>9.7000000000000003E-2</v>
      </c>
      <c r="D26" s="34">
        <f>+($E$13+F35+F36)*C26*(1-0.0175)</f>
        <v>0</v>
      </c>
      <c r="E26" s="4">
        <v>0</v>
      </c>
      <c r="F26" s="40">
        <f>+$E$13*E26</f>
        <v>0</v>
      </c>
    </row>
    <row r="27" spans="2:9" x14ac:dyDescent="0.3">
      <c r="B27" s="39" t="s">
        <v>22</v>
      </c>
      <c r="C27" s="4">
        <v>0</v>
      </c>
      <c r="D27" s="34">
        <f>+$E$13*C27</f>
        <v>0</v>
      </c>
      <c r="E27" s="4">
        <f>+IF(I8="NON",0.0015,0)</f>
        <v>1.5E-3</v>
      </c>
      <c r="F27" s="40">
        <f>+IF(E13&gt;4*I7/12,4*I7/12*E27,E13*E27)</f>
        <v>0</v>
      </c>
    </row>
    <row r="28" spans="2:9" x14ac:dyDescent="0.3">
      <c r="B28" s="39" t="s">
        <v>23</v>
      </c>
      <c r="C28" s="4">
        <v>3.15E-2</v>
      </c>
      <c r="D28" s="34">
        <f>IF(E13&gt;I7/12,I7/12*C28,E13*C28)</f>
        <v>0</v>
      </c>
      <c r="E28" s="4">
        <v>4.7199999999999999E-2</v>
      </c>
      <c r="F28" s="40">
        <f>IF(E13&gt;I7/12,I7/12*E28,E13*E28)</f>
        <v>0</v>
      </c>
    </row>
    <row r="29" spans="2:9" x14ac:dyDescent="0.3">
      <c r="B29" s="39" t="s">
        <v>24</v>
      </c>
      <c r="C29" s="4">
        <v>8.6E-3</v>
      </c>
      <c r="D29" s="34">
        <f>IF(E13&gt;I7/12,I7/12*C29,E13*C29)</f>
        <v>0</v>
      </c>
      <c r="E29" s="4">
        <v>1.29E-2</v>
      </c>
      <c r="F29" s="40">
        <f>IF(E13&gt;I7/12,I7/12*E29,E13*E29)</f>
        <v>0</v>
      </c>
    </row>
    <row r="30" spans="2:9" x14ac:dyDescent="0.3">
      <c r="B30" s="39" t="s">
        <v>25</v>
      </c>
      <c r="C30" s="4">
        <v>8.6400000000000005E-2</v>
      </c>
      <c r="D30" s="34">
        <f>+IF(AND(E13&gt;I7/12,E13&lt;I7/12*8),(E13-I7/12)*C30,0)</f>
        <v>0</v>
      </c>
      <c r="E30" s="4">
        <v>0.1295</v>
      </c>
      <c r="F30" s="40">
        <f>+IF(AND(E13&gt;I7/12,E13&lt;I7/12*8),(E13-I7/12)*E30,0)</f>
        <v>0</v>
      </c>
    </row>
    <row r="31" spans="2:9" x14ac:dyDescent="0.3">
      <c r="B31" s="39" t="s">
        <v>26</v>
      </c>
      <c r="C31" s="4">
        <v>1.0800000000000001E-2</v>
      </c>
      <c r="D31" s="34">
        <f>+IF(AND(E13&gt;I7/12,E13&lt;I7/12*8),(E13-I7/12)*C31,0)</f>
        <v>0</v>
      </c>
      <c r="E31" s="4">
        <v>1.6199999999999999E-2</v>
      </c>
      <c r="F31" s="40">
        <f>+IF(AND(E13&gt;I7/12,E13&lt;I7/12*8),(E13-I7/12)*E31,0)</f>
        <v>0</v>
      </c>
    </row>
    <row r="32" spans="2:9" x14ac:dyDescent="0.3">
      <c r="B32" s="39" t="s">
        <v>27</v>
      </c>
      <c r="C32" s="4">
        <v>1.4E-3</v>
      </c>
      <c r="D32" s="34">
        <f>+IF(AND(E13&gt;I7/12,E13&lt;I7/12*8),(E13/12)*C32,0)</f>
        <v>0</v>
      </c>
      <c r="E32" s="4">
        <v>2.0999999999999999E-3</v>
      </c>
      <c r="F32" s="40">
        <f>+IF(AND(E13&gt;I7/12,E13&lt;I7/12*8),(E13/12)*E32,0)</f>
        <v>0</v>
      </c>
    </row>
    <row r="33" spans="2:6" x14ac:dyDescent="0.3">
      <c r="B33" s="39" t="s">
        <v>28</v>
      </c>
      <c r="C33" s="4">
        <v>0</v>
      </c>
      <c r="D33" s="34">
        <f>+$E$13*C33</f>
        <v>0</v>
      </c>
      <c r="E33" s="4">
        <f>+IF(I11="CADRE",1.5%,0)</f>
        <v>0</v>
      </c>
      <c r="F33" s="40">
        <f>+IF(E13&gt;I7/12,I7/12*E33,E13*E33)</f>
        <v>0</v>
      </c>
    </row>
    <row r="34" spans="2:6" x14ac:dyDescent="0.3">
      <c r="B34" s="39" t="s">
        <v>56</v>
      </c>
      <c r="C34" s="4">
        <f>+IF(I11=1,0.00024,0)</f>
        <v>0</v>
      </c>
      <c r="D34" s="34">
        <f>+IF(E13&gt;4*I7/12,4*I7/12*C34,E13*C34)</f>
        <v>0</v>
      </c>
      <c r="E34" s="4">
        <f>+IF(I11="CADRE",0.00036,0)</f>
        <v>0</v>
      </c>
      <c r="F34" s="40">
        <f>+IF(E13&gt;I7/12,I7/12*E34,E13*E34)</f>
        <v>0</v>
      </c>
    </row>
    <row r="35" spans="2:6" x14ac:dyDescent="0.3">
      <c r="B35" s="39" t="s">
        <v>73</v>
      </c>
      <c r="C35" s="77"/>
      <c r="D35" s="34">
        <f>+I14*I15</f>
        <v>0</v>
      </c>
      <c r="E35" s="77"/>
      <c r="F35" s="40">
        <f>+I14*(1-I15)</f>
        <v>0</v>
      </c>
    </row>
    <row r="36" spans="2:6" x14ac:dyDescent="0.3">
      <c r="B36" s="39" t="s">
        <v>76</v>
      </c>
      <c r="C36" s="4">
        <f>+I16*I17</f>
        <v>0</v>
      </c>
      <c r="D36" s="34">
        <f>+C36*E13</f>
        <v>0</v>
      </c>
      <c r="E36" s="4">
        <f>+I16*(1-I17)</f>
        <v>0</v>
      </c>
      <c r="F36" s="40">
        <f>+E36*E13</f>
        <v>0</v>
      </c>
    </row>
    <row r="37" spans="2:6" x14ac:dyDescent="0.3">
      <c r="B37" s="39" t="s">
        <v>51</v>
      </c>
      <c r="C37" s="77"/>
      <c r="D37" s="78"/>
      <c r="E37" s="77"/>
      <c r="F37" s="40">
        <f>+IF(I8="NON",-'Reduction Fillon'!S4,0)</f>
        <v>0</v>
      </c>
    </row>
    <row r="38" spans="2:6" x14ac:dyDescent="0.3">
      <c r="B38" s="39" t="s">
        <v>70</v>
      </c>
      <c r="C38" s="4">
        <v>0</v>
      </c>
      <c r="D38" s="34">
        <f>+IF(E15&gt;4*I9/12,4*I9/12*C38,E15*C38)</f>
        <v>0</v>
      </c>
      <c r="E38" s="4">
        <v>6.7999999999999996E-3</v>
      </c>
      <c r="F38" s="40">
        <f>+IF(I9="NON",-'Reduction Fillon'!S5,0)</f>
        <v>0</v>
      </c>
    </row>
    <row r="39" spans="2:6" x14ac:dyDescent="0.3">
      <c r="B39" s="39" t="s">
        <v>71</v>
      </c>
      <c r="C39" s="4">
        <v>0</v>
      </c>
      <c r="D39" s="34">
        <f>+IF(E16&gt;4*I10/12,4*I10/12*C39,E16*C39)</f>
        <v>0</v>
      </c>
      <c r="E39" s="4">
        <v>5.4999999999999997E-3</v>
      </c>
      <c r="F39" s="40">
        <f>+IF(I10="NON",-'Reduction Fillon'!S6,0)</f>
        <v>0</v>
      </c>
    </row>
    <row r="40" spans="2:6" ht="15" thickBot="1" x14ac:dyDescent="0.35">
      <c r="B40" s="44" t="s">
        <v>30</v>
      </c>
      <c r="C40" s="5"/>
      <c r="D40" s="45">
        <f>+SUM(D17:D34)</f>
        <v>0</v>
      </c>
      <c r="E40" s="5"/>
      <c r="F40" s="46">
        <f>+SUM(F17:F37)</f>
        <v>0</v>
      </c>
    </row>
    <row r="41" spans="2:6" x14ac:dyDescent="0.3">
      <c r="B41" s="32"/>
      <c r="C41" s="33"/>
      <c r="D41" s="34"/>
      <c r="E41" s="33"/>
      <c r="F41" s="64"/>
    </row>
    <row r="42" spans="2:6" ht="15" thickBot="1" x14ac:dyDescent="0.35">
      <c r="B42" s="32"/>
      <c r="C42" s="33"/>
      <c r="D42" s="34"/>
      <c r="E42" s="33"/>
      <c r="F42" s="34"/>
    </row>
    <row r="43" spans="2:6" x14ac:dyDescent="0.3">
      <c r="B43" s="51" t="s">
        <v>3</v>
      </c>
      <c r="C43" s="52"/>
      <c r="D43" s="61">
        <f>+E13-SUM(D17:D34)</f>
        <v>0</v>
      </c>
      <c r="E43" s="33"/>
      <c r="F43" s="34"/>
    </row>
    <row r="44" spans="2:6" x14ac:dyDescent="0.3">
      <c r="B44" s="47" t="s">
        <v>55</v>
      </c>
      <c r="C44" s="48"/>
      <c r="D44" s="40">
        <f>+D43+$E$13*(0.024+0.005)*(1-0.0175)</f>
        <v>0</v>
      </c>
      <c r="E44" s="33"/>
      <c r="F44" s="34"/>
    </row>
    <row r="45" spans="2:6" x14ac:dyDescent="0.3">
      <c r="B45" s="47" t="s">
        <v>2</v>
      </c>
      <c r="C45" s="48"/>
      <c r="D45" s="40">
        <f>+D44*I12</f>
        <v>0</v>
      </c>
      <c r="E45" s="33"/>
      <c r="F45" s="34"/>
    </row>
    <row r="46" spans="2:6" x14ac:dyDescent="0.3">
      <c r="B46" s="47" t="s">
        <v>29</v>
      </c>
      <c r="C46" s="48"/>
      <c r="D46" s="40">
        <f>+D43-D45</f>
        <v>0</v>
      </c>
      <c r="E46" s="33"/>
      <c r="F46" s="34"/>
    </row>
    <row r="47" spans="2:6" x14ac:dyDescent="0.3">
      <c r="B47" s="47" t="s">
        <v>4</v>
      </c>
      <c r="C47" s="48"/>
      <c r="D47" s="40">
        <f>+E10</f>
        <v>0</v>
      </c>
      <c r="E47" s="33"/>
      <c r="F47" s="34"/>
    </row>
    <row r="48" spans="2:6" x14ac:dyDescent="0.3">
      <c r="B48" s="47" t="s">
        <v>1</v>
      </c>
      <c r="C48" s="48"/>
      <c r="D48" s="92">
        <f>+$E$13*C48</f>
        <v>0</v>
      </c>
      <c r="E48" s="33"/>
      <c r="F48" s="34"/>
    </row>
    <row r="49" spans="2:6" ht="15" thickBot="1" x14ac:dyDescent="0.35">
      <c r="B49" s="49" t="s">
        <v>0</v>
      </c>
      <c r="C49" s="50"/>
      <c r="D49" s="62">
        <f>+D46-D47-D48</f>
        <v>0</v>
      </c>
      <c r="E49" s="33"/>
      <c r="F49" s="34"/>
    </row>
    <row r="50" spans="2:6" ht="15" thickBot="1" x14ac:dyDescent="0.35">
      <c r="B50" s="32"/>
      <c r="C50" s="33"/>
      <c r="D50" s="34"/>
      <c r="E50" s="33"/>
      <c r="F50" s="34"/>
    </row>
    <row r="51" spans="2:6" ht="15" thickBot="1" x14ac:dyDescent="0.35">
      <c r="B51" s="70" t="s">
        <v>57</v>
      </c>
      <c r="C51" s="63"/>
      <c r="D51" s="65">
        <f>+E13+F40+D48</f>
        <v>0</v>
      </c>
      <c r="E51" s="32"/>
      <c r="F51" s="32"/>
    </row>
    <row r="52" spans="2:6" x14ac:dyDescent="0.3">
      <c r="B52" s="32"/>
      <c r="C52" s="33"/>
      <c r="D52" s="32"/>
      <c r="E52" s="32"/>
      <c r="F52" s="32"/>
    </row>
    <row r="53" spans="2:6" x14ac:dyDescent="0.3">
      <c r="B53" s="32"/>
      <c r="C53" s="33"/>
      <c r="D53" s="32"/>
      <c r="E53" s="32"/>
      <c r="F53" s="32"/>
    </row>
    <row r="54" spans="2:6" x14ac:dyDescent="0.3">
      <c r="B54" s="32"/>
      <c r="C54" s="33"/>
      <c r="D54" s="32"/>
      <c r="E54" s="32"/>
      <c r="F54" s="32"/>
    </row>
    <row r="55" spans="2:6" x14ac:dyDescent="0.3">
      <c r="B55" s="32"/>
      <c r="C55" s="32"/>
      <c r="D55" s="32"/>
      <c r="E55" s="32"/>
      <c r="F55" s="32"/>
    </row>
  </sheetData>
  <mergeCells count="11">
    <mergeCell ref="B46:C46"/>
    <mergeCell ref="B47:C47"/>
    <mergeCell ref="B48:C48"/>
    <mergeCell ref="B49:C49"/>
    <mergeCell ref="B1:I4"/>
    <mergeCell ref="C15:D15"/>
    <mergeCell ref="E15:F15"/>
    <mergeCell ref="B15:B16"/>
    <mergeCell ref="B43:C43"/>
    <mergeCell ref="B44:C44"/>
    <mergeCell ref="B45:C4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2312B9A-4A23-453D-89D6-F3A5A9161683}">
          <x14:formula1>
            <xm:f>'Reduction Fillon'!$A$10:$A$11</xm:f>
          </x14:formula1>
          <xm:sqref>I8</xm:sqref>
        </x14:dataValidation>
        <x14:dataValidation type="list" allowBlank="1" showInputMessage="1" showErrorMessage="1" xr:uid="{D65B3E9D-DEA6-4FD2-9F15-A6BCF8669980}">
          <x14:formula1>
            <xm:f>'Reduction Fillon'!$A$13:$A$14</xm:f>
          </x14:formula1>
          <xm:sqref>I11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5D79D-4345-4AFB-882B-5329E3C2490A}">
  <dimension ref="A3:S14"/>
  <sheetViews>
    <sheetView workbookViewId="0">
      <selection activeCell="A10" sqref="A10:A14"/>
    </sheetView>
  </sheetViews>
  <sheetFormatPr baseColWidth="10" defaultRowHeight="14.4" x14ac:dyDescent="0.3"/>
  <sheetData>
    <row r="3" spans="1:19" ht="24.6" thickBot="1" x14ac:dyDescent="0.35">
      <c r="A3" s="6" t="s">
        <v>31</v>
      </c>
      <c r="B3" s="7"/>
      <c r="C3" s="8" t="s">
        <v>32</v>
      </c>
      <c r="D3" s="8" t="s">
        <v>33</v>
      </c>
      <c r="E3" s="9" t="s">
        <v>34</v>
      </c>
      <c r="F3" s="8" t="s">
        <v>35</v>
      </c>
      <c r="G3" s="8" t="s">
        <v>36</v>
      </c>
      <c r="H3" s="8" t="s">
        <v>37</v>
      </c>
      <c r="I3" s="8" t="s">
        <v>38</v>
      </c>
      <c r="J3" s="8" t="s">
        <v>39</v>
      </c>
      <c r="K3" s="10" t="s">
        <v>40</v>
      </c>
      <c r="L3" s="8" t="s">
        <v>41</v>
      </c>
      <c r="M3" s="8" t="s">
        <v>42</v>
      </c>
      <c r="N3" s="8" t="s">
        <v>43</v>
      </c>
      <c r="O3" s="8" t="s">
        <v>44</v>
      </c>
      <c r="P3" s="8" t="s">
        <v>45</v>
      </c>
      <c r="Q3" s="8" t="s">
        <v>46</v>
      </c>
      <c r="R3" s="8" t="s">
        <v>47</v>
      </c>
      <c r="S3" s="11" t="s">
        <v>48</v>
      </c>
    </row>
    <row r="4" spans="1:19" x14ac:dyDescent="0.3">
      <c r="A4" s="12" t="s">
        <v>49</v>
      </c>
      <c r="B4" s="13" t="s">
        <v>31</v>
      </c>
      <c r="C4" s="14">
        <f>+'Simulation de bulletin'!E13</f>
        <v>0</v>
      </c>
      <c r="D4" s="14"/>
      <c r="E4" s="14"/>
      <c r="F4" s="14">
        <f>+'Simulation de bulletin'!E7</f>
        <v>0</v>
      </c>
      <c r="G4" s="14"/>
      <c r="H4" s="15">
        <f>C4-D4</f>
        <v>0</v>
      </c>
      <c r="I4" s="15">
        <f>C4-D4+E4</f>
        <v>0</v>
      </c>
      <c r="J4" s="15">
        <f>F4+G4</f>
        <v>0</v>
      </c>
      <c r="K4" s="15">
        <f>IF(I4=0,0,MIN(ROUND(J4*H4/I4,2),J4))</f>
        <v>0</v>
      </c>
      <c r="L4" s="16">
        <v>0.32050000000000001</v>
      </c>
      <c r="M4" s="17">
        <f>[1]PARAMETRES!$R$3</f>
        <v>1.6</v>
      </c>
      <c r="N4" s="18">
        <v>10.15</v>
      </c>
      <c r="O4" s="19"/>
      <c r="P4" s="20">
        <f>IF(O4=0,C4,ROUND(C4*(100-O4)/100,2))</f>
        <v>0</v>
      </c>
      <c r="Q4" s="20">
        <f>ROUND(K4*N4,2)</f>
        <v>0</v>
      </c>
      <c r="R4" s="21"/>
      <c r="S4" s="22">
        <f>S5</f>
        <v>0</v>
      </c>
    </row>
    <row r="5" spans="1:19" ht="15" thickBot="1" x14ac:dyDescent="0.35">
      <c r="A5" s="23"/>
      <c r="B5" s="24" t="s">
        <v>50</v>
      </c>
      <c r="C5" s="25">
        <f t="shared" ref="C5:K5" si="0">C4</f>
        <v>0</v>
      </c>
      <c r="D5" s="25">
        <f t="shared" si="0"/>
        <v>0</v>
      </c>
      <c r="E5" s="25">
        <f t="shared" si="0"/>
        <v>0</v>
      </c>
      <c r="F5" s="25">
        <f t="shared" si="0"/>
        <v>0</v>
      </c>
      <c r="G5" s="25">
        <f>G4</f>
        <v>0</v>
      </c>
      <c r="H5" s="25">
        <f>H4</f>
        <v>0</v>
      </c>
      <c r="I5" s="25">
        <f>I4</f>
        <v>0</v>
      </c>
      <c r="J5" s="25">
        <f t="shared" si="0"/>
        <v>0</v>
      </c>
      <c r="K5" s="25">
        <f t="shared" si="0"/>
        <v>0</v>
      </c>
      <c r="L5" s="26"/>
      <c r="M5" s="27"/>
      <c r="N5" s="26"/>
      <c r="O5" s="28"/>
      <c r="P5" s="29">
        <f>P4</f>
        <v>0</v>
      </c>
      <c r="Q5" s="29">
        <f>Q4</f>
        <v>0</v>
      </c>
      <c r="R5" s="30">
        <f>IF(AND(P5&lt;&gt;0,Q5&lt;&gt;0),MAX(MIN(ROUND((L4/(M4-1))*((M4*Q5/P5)-1),4),L4),0),0)</f>
        <v>0</v>
      </c>
      <c r="S5" s="31">
        <f>MAX(0,ROUND(P5*R5,2))</f>
        <v>0</v>
      </c>
    </row>
    <row r="10" spans="1:19" x14ac:dyDescent="0.3">
      <c r="A10" s="88" t="s">
        <v>64</v>
      </c>
    </row>
    <row r="11" spans="1:19" x14ac:dyDescent="0.3">
      <c r="A11" s="88" t="s">
        <v>65</v>
      </c>
    </row>
    <row r="12" spans="1:19" x14ac:dyDescent="0.3">
      <c r="A12" s="88"/>
    </row>
    <row r="13" spans="1:19" x14ac:dyDescent="0.3">
      <c r="A13" s="88" t="s">
        <v>67</v>
      </c>
    </row>
    <row r="14" spans="1:19" x14ac:dyDescent="0.3">
      <c r="A14" s="88" t="s">
        <v>66</v>
      </c>
    </row>
  </sheetData>
  <mergeCells count="6">
    <mergeCell ref="A3:B3"/>
    <mergeCell ref="A4:A5"/>
    <mergeCell ref="L4:L5"/>
    <mergeCell ref="M4:M5"/>
    <mergeCell ref="N4:N5"/>
    <mergeCell ref="O4:O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Simulation de bulletin</vt:lpstr>
      <vt:lpstr>Reduction Fillon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VAYSSIE</dc:creator>
  <cp:lastModifiedBy>VAYSSIE</cp:lastModifiedBy>
  <dcterms:created xsi:type="dcterms:W3CDTF">2020-11-06T16:09:04Z</dcterms:created>
  <dcterms:modified xsi:type="dcterms:W3CDTF">2020-11-07T23:38:25Z</dcterms:modified>
</cp:coreProperties>
</file>